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esco Feliciani\Dropbox\ESA\Projects Evaluation 2\"/>
    </mc:Choice>
  </mc:AlternateContent>
  <bookViews>
    <workbookView xWindow="0" yWindow="0" windowWidth="25095" windowHeight="9870" activeTab="1"/>
  </bookViews>
  <sheets>
    <sheet name="MPP AP calculator" sheetId="1" r:id="rId1"/>
    <sheet name="Final table" sheetId="3" r:id="rId2"/>
    <sheet name="% payment plan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6" i="1"/>
  <c r="G12" i="3" l="1"/>
  <c r="F7" i="1"/>
  <c r="F8" i="1"/>
  <c r="F9" i="1"/>
  <c r="F10" i="1"/>
  <c r="F6" i="1"/>
  <c r="G7" i="1" l="1"/>
  <c r="H13" i="3" s="1"/>
  <c r="G8" i="1"/>
  <c r="H14" i="3" s="1"/>
  <c r="G9" i="1"/>
  <c r="H15" i="3" s="1"/>
  <c r="G10" i="1"/>
  <c r="G6" i="1"/>
  <c r="H12" i="3" s="1"/>
  <c r="D7" i="1"/>
  <c r="E7" i="1" s="1"/>
  <c r="D8" i="1"/>
  <c r="E8" i="1" s="1"/>
  <c r="D9" i="1"/>
  <c r="E9" i="1" s="1"/>
  <c r="D10" i="1"/>
  <c r="E10" i="1" s="1"/>
  <c r="D6" i="1"/>
  <c r="E6" i="1" s="1"/>
  <c r="E12" i="1" s="1"/>
  <c r="F4" i="1"/>
  <c r="N9" i="2"/>
  <c r="J9" i="2"/>
  <c r="F9" i="2"/>
  <c r="A10" i="1" l="1"/>
  <c r="A9" i="1"/>
  <c r="G15" i="3" s="1"/>
  <c r="A8" i="1"/>
  <c r="B5" i="3" s="1"/>
  <c r="A7" i="1"/>
  <c r="B4" i="3" s="1"/>
  <c r="B3" i="3"/>
  <c r="C4" i="3" l="1"/>
  <c r="G13" i="3"/>
  <c r="C5" i="3"/>
  <c r="G14" i="3"/>
  <c r="B7" i="3"/>
  <c r="G16" i="3"/>
  <c r="C6" i="3"/>
  <c r="B6" i="3"/>
  <c r="E12" i="3" l="1"/>
  <c r="E3" i="3" l="1"/>
  <c r="C7" i="3"/>
  <c r="C3" i="3"/>
  <c r="D4" i="3" l="1"/>
  <c r="D5" i="3"/>
  <c r="D6" i="3"/>
  <c r="B9" i="2"/>
  <c r="D7" i="3" l="1"/>
  <c r="H6" i="1"/>
  <c r="D3" i="3"/>
  <c r="E11" i="1"/>
  <c r="H16" i="3" s="1"/>
  <c r="D8" i="3" l="1"/>
  <c r="H9" i="1" l="1"/>
  <c r="H8" i="1"/>
  <c r="H7" i="1"/>
  <c r="H10" i="1"/>
  <c r="G11" i="1"/>
  <c r="H5" i="1" l="1"/>
  <c r="H11" i="1" s="1"/>
  <c r="F12" i="3"/>
  <c r="I8" i="1" l="1"/>
  <c r="I7" i="1"/>
  <c r="I6" i="1"/>
  <c r="I9" i="1"/>
  <c r="I10" i="1"/>
  <c r="I5" i="1"/>
</calcChain>
</file>

<file path=xl/sharedStrings.xml><?xml version="1.0" encoding="utf-8"?>
<sst xmlns="http://schemas.openxmlformats.org/spreadsheetml/2006/main" count="106" uniqueCount="76">
  <si>
    <t>MS Final</t>
  </si>
  <si>
    <t>Enter total ESA Price</t>
  </si>
  <si>
    <t>Enter no. milestones</t>
  </si>
  <si>
    <t>Total</t>
  </si>
  <si>
    <t>Milestone amount</t>
  </si>
  <si>
    <t>Milestone %</t>
  </si>
  <si>
    <t>Offset Amount</t>
  </si>
  <si>
    <t>Milestone</t>
  </si>
  <si>
    <t>Milestone Description</t>
  </si>
  <si>
    <t>Schedule Date</t>
  </si>
  <si>
    <t>Amount in EUR</t>
  </si>
  <si>
    <t>Country</t>
  </si>
  <si>
    <t>GB</t>
  </si>
  <si>
    <t>Country 
(ISO Code)</t>
  </si>
  <si>
    <t>Date</t>
  </si>
  <si>
    <t>Name</t>
  </si>
  <si>
    <t>BDR</t>
  </si>
  <si>
    <t>CDR</t>
  </si>
  <si>
    <t>FAT</t>
  </si>
  <si>
    <t>SAT</t>
  </si>
  <si>
    <t>August 2019</t>
  </si>
  <si>
    <t>October 2019</t>
  </si>
  <si>
    <t>May 2020</t>
  </si>
  <si>
    <t>July 2020</t>
  </si>
  <si>
    <t>Decmber 2020</t>
  </si>
  <si>
    <t>Prime (P)</t>
  </si>
  <si>
    <t>Entity Code</t>
  </si>
  <si>
    <t>Off-Set against</t>
  </si>
  <si>
    <t>Off-set by (amount in EUR)</t>
  </si>
  <si>
    <t>P</t>
  </si>
  <si>
    <t>After signature of the Contract by both parties</t>
  </si>
  <si>
    <t>Advance payment(s) and other financial conditions:</t>
  </si>
  <si>
    <t>Company Name</t>
  </si>
  <si>
    <t>Country
(ISO Code)</t>
  </si>
  <si>
    <t>Advance Payment (in EUR)</t>
  </si>
  <si>
    <t>Condition for release of the Advance Payment (if applicable)</t>
  </si>
  <si>
    <t>MS1</t>
  </si>
  <si>
    <t>MS2</t>
  </si>
  <si>
    <t>MS3</t>
  </si>
  <si>
    <t>MS4</t>
  </si>
  <si>
    <t>&lt; Table G.9.1 
(to be inserted in the Final Proposal)</t>
  </si>
  <si>
    <t>&lt; Table G.9.2 
(to be inserted in the Final Proposal)</t>
  </si>
  <si>
    <t>select here below</t>
  </si>
  <si>
    <t>select right</t>
  </si>
  <si>
    <t>select here above</t>
  </si>
  <si>
    <t>INSTRUCTIONS:</t>
  </si>
  <si>
    <t>Percentage payment plans</t>
  </si>
  <si>
    <t>AP Offset SME (35%)</t>
  </si>
  <si>
    <t>MS Payment Plan</t>
  </si>
  <si>
    <t>number of milestones</t>
  </si>
  <si>
    <t>SME</t>
  </si>
  <si>
    <t>YES</t>
  </si>
  <si>
    <t>SME:</t>
  </si>
  <si>
    <t>NO</t>
  </si>
  <si>
    <t>2YES</t>
  </si>
  <si>
    <t>2NO</t>
  </si>
  <si>
    <t>3YES</t>
  </si>
  <si>
    <t>3NO</t>
  </si>
  <si>
    <t>4YES</t>
  </si>
  <si>
    <t>4NO</t>
  </si>
  <si>
    <t>5YES</t>
  </si>
  <si>
    <t>5NO</t>
  </si>
  <si>
    <t>AP Offset NOSME (20%)</t>
  </si>
  <si>
    <t>Payments</t>
  </si>
  <si>
    <t>MS name</t>
  </si>
  <si>
    <t>FR</t>
  </si>
  <si>
    <t>2N</t>
  </si>
  <si>
    <t>3N</t>
  </si>
  <si>
    <t>4N</t>
  </si>
  <si>
    <t>5N</t>
  </si>
  <si>
    <t>-</t>
  </si>
  <si>
    <t>1) Please adapt the entries in the yellow cells above</t>
  </si>
  <si>
    <t xml:space="preserve">
2) Please do not use more than 3 milestones per year!</t>
  </si>
  <si>
    <t>3) The blue cells show the milestone amounts, the orange calculates the offset related to the Advance Payment (subtracted amounts from the payments) and the green shows the actual cashflow</t>
  </si>
  <si>
    <t>4) This MPP AP calculator is for a single contractor project. In case of sub-contractors, the MPP AP calculator should be used for each single contractors, and the results of the relevant Final Tables integrated together</t>
  </si>
  <si>
    <t>Rev.1.3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</si>
</sst>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£&quot;* #,##0.00_);_(&quot;£&quot;* \(#,##0.00\);_(&quot;£&quot;* &quot;-&quot;??_);_(@_)"/>
    <numFmt numFmtId="165" formatCode="_([$€-2]\ * #,##0_);_([$€-2]\ * \(#,##0\);_([$€-2]\ * &quot;-&quot;??_);_(@_)"/>
    <numFmt numFmtId="166" formatCode="_-&quot;€&quot;* #,##0_-;\-&quot;€&quot;* #,##0_-;_-&quot;€&quot;* &quot;-&quot;??_-;_-@_-"/>
    <numFmt numFmtId="167" formatCode="_-[$€-2]\ * #,##0.00_-;\-[$€-2]\ * #,##0.00_-;_-[$€-2]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Georgia"/>
      <family val="1"/>
    </font>
    <font>
      <sz val="12"/>
      <color theme="1"/>
      <name val="Georgia"/>
      <family val="1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sz val="8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6">
    <xf numFmtId="0" fontId="0" fillId="0" borderId="0" xfId="0"/>
    <xf numFmtId="9" fontId="0" fillId="0" borderId="0" xfId="1" applyFont="1"/>
    <xf numFmtId="0" fontId="0" fillId="2" borderId="1" xfId="0" applyFill="1" applyBorder="1"/>
    <xf numFmtId="0" fontId="0" fillId="0" borderId="0" xfId="0" applyAlignment="1">
      <alignment horizontal="left"/>
    </xf>
    <xf numFmtId="0" fontId="2" fillId="0" borderId="0" xfId="0" applyFont="1"/>
    <xf numFmtId="9" fontId="2" fillId="0" borderId="0" xfId="0" applyNumberFormat="1" applyFont="1"/>
    <xf numFmtId="0" fontId="2" fillId="0" borderId="0" xfId="0" applyFont="1" applyAlignment="1">
      <alignment horizontal="left"/>
    </xf>
    <xf numFmtId="3" fontId="0" fillId="2" borderId="1" xfId="0" applyNumberFormat="1" applyFill="1" applyBorder="1"/>
    <xf numFmtId="0" fontId="0" fillId="0" borderId="0" xfId="0" applyFill="1"/>
    <xf numFmtId="165" fontId="2" fillId="0" borderId="0" xfId="2" applyNumberFormat="1" applyFont="1" applyFill="1"/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5" borderId="0" xfId="0" applyFill="1"/>
    <xf numFmtId="0" fontId="5" fillId="0" borderId="5" xfId="0" applyFont="1" applyBorder="1" applyAlignment="1">
      <alignment horizontal="center" vertical="center" wrapText="1"/>
    </xf>
    <xf numFmtId="0" fontId="6" fillId="0" borderId="0" xfId="0" applyFont="1"/>
    <xf numFmtId="2" fontId="0" fillId="0" borderId="0" xfId="0" applyNumberFormat="1"/>
    <xf numFmtId="167" fontId="0" fillId="0" borderId="0" xfId="0" applyNumberFormat="1"/>
    <xf numFmtId="3" fontId="6" fillId="0" borderId="8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7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 vertical="center"/>
    </xf>
    <xf numFmtId="0" fontId="9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49" fontId="0" fillId="2" borderId="1" xfId="2" applyNumberFormat="1" applyFont="1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165" fontId="0" fillId="3" borderId="1" xfId="2" applyNumberFormat="1" applyFont="1" applyFill="1" applyBorder="1" applyAlignment="1">
      <alignment vertical="center"/>
    </xf>
    <xf numFmtId="166" fontId="0" fillId="4" borderId="1" xfId="0" applyNumberFormat="1" applyFill="1" applyBorder="1"/>
    <xf numFmtId="9" fontId="0" fillId="4" borderId="1" xfId="1" applyFont="1" applyFill="1" applyBorder="1"/>
    <xf numFmtId="0" fontId="0" fillId="0" borderId="0" xfId="0" applyBorder="1" applyAlignment="1">
      <alignment horizontal="left"/>
    </xf>
    <xf numFmtId="165" fontId="2" fillId="0" borderId="0" xfId="2" applyNumberFormat="1" applyFont="1" applyFill="1" applyBorder="1"/>
    <xf numFmtId="0" fontId="0" fillId="3" borderId="1" xfId="0" applyFill="1" applyBorder="1"/>
    <xf numFmtId="165" fontId="2" fillId="3" borderId="1" xfId="2" applyNumberFormat="1" applyFont="1" applyFill="1" applyBorder="1" applyAlignment="1">
      <alignment vertical="center"/>
    </xf>
    <xf numFmtId="166" fontId="2" fillId="4" borderId="1" xfId="0" applyNumberFormat="1" applyFont="1" applyFill="1" applyBorder="1"/>
    <xf numFmtId="0" fontId="0" fillId="0" borderId="0" xfId="0" applyBorder="1"/>
    <xf numFmtId="3" fontId="0" fillId="0" borderId="0" xfId="0" applyNumberForma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0" fillId="2" borderId="12" xfId="0" applyFill="1" applyBorder="1" applyAlignment="1">
      <alignment horizontal="right" vertical="center"/>
    </xf>
    <xf numFmtId="166" fontId="0" fillId="4" borderId="1" xfId="0" applyNumberForma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9" fontId="0" fillId="6" borderId="1" xfId="1" applyFont="1" applyFill="1" applyBorder="1" applyAlignment="1">
      <alignment horizontal="center" vertical="center"/>
    </xf>
    <xf numFmtId="166" fontId="0" fillId="6" borderId="1" xfId="0" applyNumberFormat="1" applyFill="1" applyBorder="1"/>
    <xf numFmtId="165" fontId="2" fillId="6" borderId="1" xfId="2" applyNumberFormat="1" applyFont="1" applyFill="1" applyBorder="1"/>
    <xf numFmtId="166" fontId="2" fillId="6" borderId="1" xfId="0" applyNumberFormat="1" applyFont="1" applyFill="1" applyBorder="1"/>
    <xf numFmtId="0" fontId="9" fillId="0" borderId="0" xfId="0" applyFont="1" applyAlignment="1"/>
    <xf numFmtId="0" fontId="4" fillId="0" borderId="2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0" fillId="5" borderId="0" xfId="0" applyFill="1" applyBorder="1" applyAlignment="1">
      <alignment horizontal="center"/>
    </xf>
    <xf numFmtId="0" fontId="0" fillId="0" borderId="0" xfId="0" applyAlignment="1">
      <alignment horizontal="right" vertical="center"/>
    </xf>
    <xf numFmtId="15" fontId="0" fillId="0" borderId="0" xfId="0" applyNumberFormat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2" applyNumberFormat="1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0" fillId="5" borderId="9" xfId="0" applyFill="1" applyBorder="1" applyAlignment="1">
      <alignment horizontal="center"/>
    </xf>
    <xf numFmtId="0" fontId="0" fillId="5" borderId="0" xfId="0" applyFill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MPP (PLEASE IGNORE)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'% payment plans'!$B$2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'% payment plans'!$B$4:$B$8</c:f>
              <c:numCache>
                <c:formatCode>0%</c:formatCode>
                <c:ptCount val="5"/>
                <c:pt idx="0">
                  <c:v>0.5</c:v>
                </c:pt>
                <c:pt idx="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FE-4D01-BAA1-71FB2AE02F84}"/>
            </c:ext>
          </c:extLst>
        </c:ser>
        <c:ser>
          <c:idx val="1"/>
          <c:order val="1"/>
          <c:tx>
            <c:strRef>
              <c:f>'% payment plans'!$F$2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'% payment plans'!$F$4:$F$8</c:f>
              <c:numCache>
                <c:formatCode>0%</c:formatCode>
                <c:ptCount val="5"/>
                <c:pt idx="0">
                  <c:v>0.35</c:v>
                </c:pt>
                <c:pt idx="1">
                  <c:v>0.3</c:v>
                </c:pt>
                <c:pt idx="4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FE-4D01-BAA1-71FB2AE02F84}"/>
            </c:ext>
          </c:extLst>
        </c:ser>
        <c:ser>
          <c:idx val="2"/>
          <c:order val="2"/>
          <c:tx>
            <c:strRef>
              <c:f>'% payment plans'!$J$2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'% payment plans'!$J$4:$J$8</c:f>
              <c:numCache>
                <c:formatCode>0%</c:formatCode>
                <c:ptCount val="5"/>
                <c:pt idx="0">
                  <c:v>0.3</c:v>
                </c:pt>
                <c:pt idx="1">
                  <c:v>0.2</c:v>
                </c:pt>
                <c:pt idx="2">
                  <c:v>0.25</c:v>
                </c:pt>
                <c:pt idx="4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FE-4D01-BAA1-71FB2AE02F84}"/>
            </c:ext>
          </c:extLst>
        </c:ser>
        <c:ser>
          <c:idx val="3"/>
          <c:order val="3"/>
          <c:tx>
            <c:strRef>
              <c:f>'% payment plans'!$N$2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'% payment plans'!$N$4:$N$8</c:f>
              <c:numCache>
                <c:formatCode>0%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0.25</c:v>
                </c:pt>
                <c:pt idx="3">
                  <c:v>0.15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FE-4D01-BAA1-71FB2AE02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7429544"/>
        <c:axId val="537430200"/>
      </c:barChart>
      <c:catAx>
        <c:axId val="537429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430200"/>
        <c:crosses val="autoZero"/>
        <c:auto val="1"/>
        <c:lblAlgn val="ctr"/>
        <c:lblOffset val="100"/>
        <c:noMultiLvlLbl val="0"/>
      </c:catAx>
      <c:valAx>
        <c:axId val="53743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429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13</xdr:row>
      <xdr:rowOff>9525</xdr:rowOff>
    </xdr:from>
    <xdr:to>
      <xdr:col>17</xdr:col>
      <xdr:colOff>0</xdr:colOff>
      <xdr:row>27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0"/>
  <sheetViews>
    <sheetView zoomScaleNormal="100" workbookViewId="0">
      <selection activeCell="B19" sqref="B19"/>
    </sheetView>
  </sheetViews>
  <sheetFormatPr defaultColWidth="8.85546875" defaultRowHeight="15" x14ac:dyDescent="0.25"/>
  <cols>
    <col min="1" max="2" width="20.85546875" customWidth="1"/>
    <col min="3" max="3" width="20.85546875" style="8" customWidth="1"/>
    <col min="4" max="5" width="16.7109375" customWidth="1"/>
    <col min="6" max="6" width="25.7109375" style="8" customWidth="1"/>
    <col min="7" max="8" width="16.7109375" customWidth="1"/>
    <col min="10" max="10" width="12.7109375" customWidth="1"/>
  </cols>
  <sheetData>
    <row r="1" spans="1:10" x14ac:dyDescent="0.25">
      <c r="A1" t="s">
        <v>1</v>
      </c>
      <c r="B1" s="7">
        <v>1000000</v>
      </c>
      <c r="C1" s="50" t="s">
        <v>52</v>
      </c>
      <c r="D1" s="2" t="s">
        <v>51</v>
      </c>
    </row>
    <row r="2" spans="1:10" x14ac:dyDescent="0.25">
      <c r="A2" t="s">
        <v>2</v>
      </c>
      <c r="B2" s="2">
        <v>2</v>
      </c>
      <c r="C2" s="31"/>
      <c r="G2" s="8"/>
    </row>
    <row r="3" spans="1:10" x14ac:dyDescent="0.25">
      <c r="A3" t="s">
        <v>11</v>
      </c>
      <c r="B3" s="52" t="s">
        <v>12</v>
      </c>
      <c r="C3" s="32"/>
      <c r="G3" s="8"/>
    </row>
    <row r="4" spans="1:10" s="4" customFormat="1" x14ac:dyDescent="0.25">
      <c r="A4" s="4" t="s">
        <v>7</v>
      </c>
      <c r="B4" s="75" t="s">
        <v>15</v>
      </c>
      <c r="C4" s="75" t="s">
        <v>14</v>
      </c>
      <c r="D4" s="74" t="s">
        <v>5</v>
      </c>
      <c r="E4" s="74" t="s">
        <v>4</v>
      </c>
      <c r="F4" s="76" t="str">
        <f>CONCATENATE("Advance Payment: "&amp;IF(D1="YES","35%","20%"))</f>
        <v>Advance Payment: 35%</v>
      </c>
      <c r="G4" s="76" t="s">
        <v>6</v>
      </c>
      <c r="H4" s="73" t="s">
        <v>63</v>
      </c>
      <c r="I4" s="73"/>
    </row>
    <row r="5" spans="1:10" x14ac:dyDescent="0.25">
      <c r="B5" s="75"/>
      <c r="C5" s="75"/>
      <c r="D5" s="74"/>
      <c r="E5" s="74"/>
      <c r="F5" s="77"/>
      <c r="G5" s="77"/>
      <c r="H5" s="53">
        <f>G11</f>
        <v>350000</v>
      </c>
      <c r="I5" s="43">
        <f>+H5/$H$11</f>
        <v>0.35</v>
      </c>
    </row>
    <row r="6" spans="1:10" x14ac:dyDescent="0.25">
      <c r="A6" s="3" t="s">
        <v>36</v>
      </c>
      <c r="B6" s="71" t="str">
        <f>HLOOKUP($B$2&amp;"N",'% payment plans'!$B$2:$Q$8,ROW()-3,FALSE)</f>
        <v>FAT</v>
      </c>
      <c r="C6" s="39" t="s">
        <v>20</v>
      </c>
      <c r="D6" s="40">
        <f>HLOOKUP($B$2,'% payment plans'!$B$2:$Q$8,ROW()-3)</f>
        <v>0.5</v>
      </c>
      <c r="E6" s="41">
        <f>INT(D6*$B$1)</f>
        <v>500000</v>
      </c>
      <c r="F6" s="56">
        <f>HLOOKUP($B$2&amp;$D$1,'% payment plans'!$B$2:$Q$8,ROW()-3,FALSE)</f>
        <v>0</v>
      </c>
      <c r="G6" s="57">
        <f>+$B$1*F6</f>
        <v>0</v>
      </c>
      <c r="H6" s="42">
        <f>E6-G6</f>
        <v>500000</v>
      </c>
      <c r="I6" s="43">
        <f t="shared" ref="I6:I10" si="0">+H6/$H$11</f>
        <v>0.5</v>
      </c>
    </row>
    <row r="7" spans="1:10" x14ac:dyDescent="0.25">
      <c r="A7" s="44" t="str">
        <f>IF($B$2&gt;2,"MS2","")</f>
        <v/>
      </c>
      <c r="B7" s="71" t="str">
        <f>HLOOKUP($B$2&amp;"N",'% payment plans'!$B$2:$Q$8,ROW()-3,FALSE)</f>
        <v>-</v>
      </c>
      <c r="C7" s="39" t="s">
        <v>21</v>
      </c>
      <c r="D7" s="40">
        <f>HLOOKUP($B$2,'% payment plans'!$B$2:$Q$8,ROW()-3)</f>
        <v>0</v>
      </c>
      <c r="E7" s="41">
        <f>D7*$B$1</f>
        <v>0</v>
      </c>
      <c r="F7" s="56">
        <f>HLOOKUP($B$2&amp;$D$1,'% payment plans'!$B$2:$Q$8,ROW()-3,FALSE)</f>
        <v>0</v>
      </c>
      <c r="G7" s="57">
        <f t="shared" ref="G7:G10" si="1">+$B$1*F7</f>
        <v>0</v>
      </c>
      <c r="H7" s="42">
        <f>E7-G7</f>
        <v>0</v>
      </c>
      <c r="I7" s="43">
        <f t="shared" si="0"/>
        <v>0</v>
      </c>
    </row>
    <row r="8" spans="1:10" x14ac:dyDescent="0.25">
      <c r="A8" s="3" t="str">
        <f>IF($B$2&gt;3,"MS3","")</f>
        <v/>
      </c>
      <c r="B8" s="71" t="str">
        <f>HLOOKUP($B$2&amp;"N",'% payment plans'!$B$2:$Q$8,ROW()-3,FALSE)</f>
        <v>-</v>
      </c>
      <c r="C8" s="39" t="s">
        <v>22</v>
      </c>
      <c r="D8" s="40">
        <f>HLOOKUP($B$2,'% payment plans'!$B$2:$Q$8,ROW()-3)</f>
        <v>0</v>
      </c>
      <c r="E8" s="41">
        <f>D8*$B$1</f>
        <v>0</v>
      </c>
      <c r="F8" s="56">
        <f>HLOOKUP($B$2&amp;$D$1,'% payment plans'!$B$2:$Q$8,ROW()-3,FALSE)</f>
        <v>0</v>
      </c>
      <c r="G8" s="57">
        <f t="shared" si="1"/>
        <v>0</v>
      </c>
      <c r="H8" s="42">
        <f>E8-G8</f>
        <v>0</v>
      </c>
      <c r="I8" s="43">
        <f t="shared" si="0"/>
        <v>0</v>
      </c>
    </row>
    <row r="9" spans="1:10" x14ac:dyDescent="0.25">
      <c r="A9" s="3" t="str">
        <f>IF($B$2&gt;4,"MS4","")</f>
        <v/>
      </c>
      <c r="B9" s="71" t="str">
        <f>HLOOKUP($B$2&amp;"N",'% payment plans'!$B$2:$Q$8,ROW()-3,FALSE)</f>
        <v>-</v>
      </c>
      <c r="C9" s="39" t="s">
        <v>23</v>
      </c>
      <c r="D9" s="40">
        <f>HLOOKUP($B$2,'% payment plans'!$B$2:$Q$8,ROW()-3)</f>
        <v>0</v>
      </c>
      <c r="E9" s="41">
        <f>D9*$B$1</f>
        <v>0</v>
      </c>
      <c r="F9" s="56">
        <f>HLOOKUP($B$2&amp;$D$1,'% payment plans'!$B$2:$Q$8,ROW()-3,FALSE)</f>
        <v>0</v>
      </c>
      <c r="G9" s="57">
        <f t="shared" si="1"/>
        <v>0</v>
      </c>
      <c r="H9" s="42">
        <f>E9-G9</f>
        <v>0</v>
      </c>
      <c r="I9" s="43">
        <f t="shared" si="0"/>
        <v>0</v>
      </c>
    </row>
    <row r="10" spans="1:10" x14ac:dyDescent="0.25">
      <c r="A10" s="3" t="str">
        <f>CONCATENATE("MS"&amp;B2)</f>
        <v>MS2</v>
      </c>
      <c r="B10" s="71" t="str">
        <f>HLOOKUP($B$2&amp;"N",'% payment plans'!$B$2:$Q$8,ROW()-3,FALSE)</f>
        <v>FR</v>
      </c>
      <c r="C10" s="39" t="s">
        <v>24</v>
      </c>
      <c r="D10" s="40">
        <f>HLOOKUP($B$2,'% payment plans'!$B$2:$Q$8,ROW()-3)</f>
        <v>0.5</v>
      </c>
      <c r="E10" s="41">
        <f>D10*$B$1</f>
        <v>500000</v>
      </c>
      <c r="F10" s="56">
        <f>HLOOKUP($B$2&amp;$D$1,'% payment plans'!$B$2:$Q$8,ROW()-3,FALSE)</f>
        <v>0.35</v>
      </c>
      <c r="G10" s="57">
        <f t="shared" si="1"/>
        <v>350000</v>
      </c>
      <c r="H10" s="42">
        <f>E10-G10</f>
        <v>150000</v>
      </c>
      <c r="I10" s="43">
        <f t="shared" si="0"/>
        <v>0.15</v>
      </c>
      <c r="J10" s="55"/>
    </row>
    <row r="11" spans="1:10" s="4" customFormat="1" x14ac:dyDescent="0.25">
      <c r="B11" s="45"/>
      <c r="C11" s="9"/>
      <c r="D11" s="46"/>
      <c r="E11" s="47">
        <f>SUM(E6:E10)</f>
        <v>1000000</v>
      </c>
      <c r="F11" s="58"/>
      <c r="G11" s="59">
        <f>SUM(G6:G10)</f>
        <v>350000</v>
      </c>
      <c r="H11" s="48">
        <f>SUM(H5:H10)</f>
        <v>1000000</v>
      </c>
    </row>
    <row r="12" spans="1:10" x14ac:dyDescent="0.25">
      <c r="E12" s="72" t="str">
        <f>IF(SUM(E6:E10)&lt;&gt;(INT(E6)+INT(E7)+INT(E8)+INT(E9)+INT(E10)),"rounding issue!","")</f>
        <v/>
      </c>
    </row>
    <row r="14" spans="1:10" x14ac:dyDescent="0.25">
      <c r="A14" s="25" t="s">
        <v>45</v>
      </c>
      <c r="B14" s="60" t="s">
        <v>71</v>
      </c>
      <c r="C14" s="33"/>
    </row>
    <row r="15" spans="1:10" x14ac:dyDescent="0.25">
      <c r="A15" s="25"/>
      <c r="B15" s="60" t="s">
        <v>72</v>
      </c>
      <c r="C15" s="33"/>
    </row>
    <row r="16" spans="1:10" x14ac:dyDescent="0.25">
      <c r="B16" s="25" t="s">
        <v>73</v>
      </c>
    </row>
    <row r="17" spans="1:7" x14ac:dyDescent="0.25">
      <c r="B17" s="60" t="s">
        <v>74</v>
      </c>
      <c r="G17" s="22"/>
    </row>
    <row r="18" spans="1:7" x14ac:dyDescent="0.25">
      <c r="A18" s="64" t="s">
        <v>75</v>
      </c>
      <c r="B18" s="65">
        <v>43605</v>
      </c>
    </row>
    <row r="19" spans="1:7" x14ac:dyDescent="0.25">
      <c r="A19" s="3"/>
      <c r="B19" s="3"/>
      <c r="C19" s="34"/>
      <c r="D19" s="49"/>
    </row>
    <row r="20" spans="1:7" x14ac:dyDescent="0.25">
      <c r="A20" s="3"/>
      <c r="B20" s="3"/>
      <c r="C20" s="34"/>
      <c r="D20" s="49"/>
    </row>
    <row r="21" spans="1:7" x14ac:dyDescent="0.25">
      <c r="A21" s="3"/>
      <c r="B21" s="3"/>
      <c r="C21" s="34"/>
    </row>
    <row r="22" spans="1:7" x14ac:dyDescent="0.25">
      <c r="A22" s="3"/>
      <c r="B22" s="3"/>
      <c r="C22" s="34"/>
    </row>
    <row r="23" spans="1:7" x14ac:dyDescent="0.25">
      <c r="A23" s="3"/>
      <c r="B23" s="3"/>
      <c r="C23" s="34"/>
    </row>
    <row r="30" spans="1:7" x14ac:dyDescent="0.25">
      <c r="E30" s="21"/>
    </row>
  </sheetData>
  <mergeCells count="7">
    <mergeCell ref="H4:I4"/>
    <mergeCell ref="E4:E5"/>
    <mergeCell ref="D4:D5"/>
    <mergeCell ref="C4:C5"/>
    <mergeCell ref="B4:B5"/>
    <mergeCell ref="F4:F5"/>
    <mergeCell ref="G4:G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'% payment plans'!$B$14:$B$17</xm:f>
          </x14:formula1>
          <xm:sqref>B2</xm:sqref>
        </x14:dataValidation>
        <x14:dataValidation type="list" allowBlank="1" showInputMessage="1" showErrorMessage="1">
          <x14:formula1>
            <xm:f>'% payment plans'!$B$20:$B$21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R24"/>
  <sheetViews>
    <sheetView tabSelected="1" topLeftCell="A8" workbookViewId="0">
      <selection activeCell="C24" sqref="C24"/>
    </sheetView>
  </sheetViews>
  <sheetFormatPr defaultRowHeight="15" x14ac:dyDescent="0.25"/>
  <cols>
    <col min="1" max="1" width="2" customWidth="1"/>
    <col min="2" max="2" width="34.5703125" customWidth="1"/>
    <col min="3" max="3" width="22.140625" customWidth="1"/>
    <col min="4" max="4" width="21.140625" customWidth="1"/>
    <col min="5" max="5" width="15" customWidth="1"/>
    <col min="6" max="6" width="15.7109375" customWidth="1"/>
    <col min="8" max="8" width="13.42578125" bestFit="1" customWidth="1"/>
    <col min="9" max="9" width="18.140625" customWidth="1"/>
    <col min="10" max="10" width="22.85546875" customWidth="1"/>
  </cols>
  <sheetData>
    <row r="1" spans="1:18" ht="12" customHeight="1" thickBot="1" x14ac:dyDescent="0.3">
      <c r="A1" s="86" t="s">
        <v>43</v>
      </c>
      <c r="B1" s="85" t="s">
        <v>42</v>
      </c>
      <c r="C1" s="85"/>
      <c r="D1" s="85"/>
      <c r="E1" s="85"/>
    </row>
    <row r="2" spans="1:18" ht="30.75" customHeight="1" thickBot="1" x14ac:dyDescent="0.3">
      <c r="A2" s="86"/>
      <c r="B2" s="16" t="s">
        <v>8</v>
      </c>
      <c r="C2" s="16" t="s">
        <v>9</v>
      </c>
      <c r="D2" s="16" t="s">
        <v>10</v>
      </c>
      <c r="E2" s="17" t="s">
        <v>13</v>
      </c>
    </row>
    <row r="3" spans="1:18" ht="75.75" customHeight="1" thickBot="1" x14ac:dyDescent="0.3">
      <c r="A3" s="86"/>
      <c r="B3" s="10" t="str">
        <f>CONCATENATE("MS1 - Upon successful "&amp; 'MPP AP calculator'!B6 &amp;" Review and the Agency’s acceptance of all related deliverables")</f>
        <v>MS1 - Upon successful FAT Review and the Agency’s acceptance of all related deliverables</v>
      </c>
      <c r="C3" s="11" t="str">
        <f>+'MPP AP calculator'!C6</f>
        <v>August 2019</v>
      </c>
      <c r="D3" s="12">
        <f>+'MPP AP calculator'!E6</f>
        <v>500000</v>
      </c>
      <c r="E3" s="87" t="str">
        <f>+'MPP AP calculator'!B3</f>
        <v>GB</v>
      </c>
    </row>
    <row r="4" spans="1:18" ht="78" customHeight="1" thickBot="1" x14ac:dyDescent="0.3">
      <c r="A4" s="86"/>
      <c r="B4" s="10" t="str">
        <f>IF('MPP AP calculator'!A7&lt;&gt;"",CONCATENATE('MPP AP calculator'!A7&amp;" - Upon successful "&amp; 'MPP AP calculator'!B7 &amp;" Review and the Agency’s acceptance of all related deliverables"),"")</f>
        <v/>
      </c>
      <c r="C4" s="24" t="str">
        <f>IF('MPP AP calculator'!A7&lt;&gt;"",'MPP AP calculator'!C7,"")</f>
        <v/>
      </c>
      <c r="D4" s="12" t="str">
        <f>IF('MPP AP calculator'!A7&lt;&gt;"",'MPP AP calculator'!E7,"")</f>
        <v/>
      </c>
      <c r="E4" s="87"/>
    </row>
    <row r="5" spans="1:18" ht="72.75" customHeight="1" thickBot="1" x14ac:dyDescent="0.3">
      <c r="A5" s="86"/>
      <c r="B5" s="10" t="str">
        <f>IF('MPP AP calculator'!A8&lt;&gt;"",CONCATENATE('MPP AP calculator'!A8&amp;" - Upon successful "&amp; 'MPP AP calculator'!B8 &amp;" Review and the Agency’s acceptance of all related deliverables"),"")</f>
        <v/>
      </c>
      <c r="C5" s="24" t="str">
        <f>IF('MPP AP calculator'!A8&lt;&gt;"",'MPP AP calculator'!C8,"")</f>
        <v/>
      </c>
      <c r="D5" s="12" t="str">
        <f>IF('MPP AP calculator'!A8&lt;&gt;"",'MPP AP calculator'!E8,"")</f>
        <v/>
      </c>
      <c r="E5" s="87"/>
      <c r="G5" s="88" t="s">
        <v>40</v>
      </c>
      <c r="H5" s="89"/>
      <c r="I5" s="89"/>
      <c r="J5" s="89"/>
    </row>
    <row r="6" spans="1:18" ht="67.5" customHeight="1" thickBot="1" x14ac:dyDescent="0.3">
      <c r="A6" s="86"/>
      <c r="B6" s="61" t="str">
        <f>IF('MPP AP calculator'!A9&lt;&gt;"",CONCATENATE('MPP AP calculator'!A9&amp;" - Upon successful "&amp; 'MPP AP calculator'!B9 &amp;" Review and the Agency’s acceptance of all related deliverables"),"")</f>
        <v/>
      </c>
      <c r="C6" s="24" t="str">
        <f>IF('MPP AP calculator'!A9&lt;&gt;"",'MPP AP calculator'!C9,"")</f>
        <v/>
      </c>
      <c r="D6" s="12" t="str">
        <f>IF('MPP AP calculator'!A9&lt;&gt;"",'MPP AP calculator'!E9,"")</f>
        <v/>
      </c>
      <c r="E6" s="87"/>
    </row>
    <row r="7" spans="1:18" ht="135.75" thickBot="1" x14ac:dyDescent="0.3">
      <c r="A7" s="86"/>
      <c r="B7" s="61" t="str">
        <f>CONCATENATE('MPP AP calculator'!A10&amp;" - Final settlement: 
Upon the Agency’s acceptance of all deliverable items due under the Contract and the Contractor’s fulfilment of all other contractual obligations including submission of the Contract Closure Documentation")</f>
        <v>MS2 - Final settlement: 
Upon the Agency’s acceptance of all deliverable items due under the Contract and the Contractor’s fulfilment of all other contractual obligations including submission of the Contract Closure Documentation</v>
      </c>
      <c r="C7" s="11" t="str">
        <f>+'MPP AP calculator'!C10</f>
        <v>Decmber 2020</v>
      </c>
      <c r="D7" s="12">
        <f>+'MPP AP calculator'!E10</f>
        <v>500000</v>
      </c>
      <c r="E7" s="87"/>
    </row>
    <row r="8" spans="1:18" ht="15.75" thickBot="1" x14ac:dyDescent="0.3">
      <c r="A8" s="86"/>
      <c r="B8" s="10" t="s">
        <v>3</v>
      </c>
      <c r="C8" s="15"/>
      <c r="D8" s="13">
        <f>+'MPP AP calculator'!E11</f>
        <v>1000000</v>
      </c>
      <c r="E8" s="14"/>
    </row>
    <row r="9" spans="1:18" x14ac:dyDescent="0.25">
      <c r="A9" s="18"/>
      <c r="B9" s="8"/>
      <c r="C9" s="8"/>
      <c r="D9" s="8"/>
      <c r="E9" s="8"/>
      <c r="F9" s="8"/>
      <c r="G9" s="8"/>
      <c r="H9" s="8"/>
      <c r="I9" s="8"/>
    </row>
    <row r="10" spans="1:18" ht="15.75" thickBot="1" x14ac:dyDescent="0.3">
      <c r="A10" s="18"/>
      <c r="B10" s="20" t="s">
        <v>31</v>
      </c>
    </row>
    <row r="11" spans="1:18" ht="142.5" customHeight="1" thickBot="1" x14ac:dyDescent="0.45">
      <c r="A11" s="86" t="s">
        <v>43</v>
      </c>
      <c r="B11" s="17" t="s">
        <v>25</v>
      </c>
      <c r="C11" s="17" t="s">
        <v>32</v>
      </c>
      <c r="D11" s="17" t="s">
        <v>26</v>
      </c>
      <c r="E11" s="19" t="s">
        <v>33</v>
      </c>
      <c r="F11" s="30" t="s">
        <v>34</v>
      </c>
      <c r="G11" s="17" t="s">
        <v>27</v>
      </c>
      <c r="H11" s="17" t="s">
        <v>28</v>
      </c>
      <c r="I11" s="19" t="s">
        <v>35</v>
      </c>
      <c r="K11" s="84" t="s">
        <v>41</v>
      </c>
      <c r="L11" s="84"/>
      <c r="M11" s="84"/>
      <c r="N11" s="84"/>
      <c r="O11" s="84"/>
      <c r="P11" s="84"/>
      <c r="Q11" s="84"/>
      <c r="R11" s="84"/>
    </row>
    <row r="12" spans="1:18" ht="24.75" customHeight="1" x14ac:dyDescent="0.25">
      <c r="A12" s="86"/>
      <c r="B12" s="81" t="s">
        <v>29</v>
      </c>
      <c r="C12" s="90"/>
      <c r="D12" s="93"/>
      <c r="E12" s="81" t="str">
        <f>+'MPP AP calculator'!B3</f>
        <v>GB</v>
      </c>
      <c r="F12" s="78">
        <f>+'MPP AP calculator'!G11</f>
        <v>350000</v>
      </c>
      <c r="G12" s="62" t="str">
        <f>+'MPP AP calculator'!A6</f>
        <v>MS1</v>
      </c>
      <c r="H12" s="23">
        <f>+'MPP AP calculator'!G6</f>
        <v>0</v>
      </c>
      <c r="I12" s="81" t="s">
        <v>30</v>
      </c>
    </row>
    <row r="13" spans="1:18" ht="25.5" customHeight="1" x14ac:dyDescent="0.25">
      <c r="A13" s="86"/>
      <c r="B13" s="82"/>
      <c r="C13" s="91"/>
      <c r="D13" s="94"/>
      <c r="E13" s="82"/>
      <c r="F13" s="79"/>
      <c r="G13" s="28" t="str">
        <f>+'MPP AP calculator'!A7</f>
        <v/>
      </c>
      <c r="H13" s="26">
        <f>+'MPP AP calculator'!G7</f>
        <v>0</v>
      </c>
      <c r="I13" s="82"/>
    </row>
    <row r="14" spans="1:18" ht="19.5" customHeight="1" x14ac:dyDescent="0.25">
      <c r="A14" s="86"/>
      <c r="B14" s="82"/>
      <c r="C14" s="91"/>
      <c r="D14" s="94"/>
      <c r="E14" s="82"/>
      <c r="F14" s="79"/>
      <c r="G14" s="28" t="str">
        <f>+'MPP AP calculator'!A8</f>
        <v/>
      </c>
      <c r="H14" s="26">
        <f>+'MPP AP calculator'!G8</f>
        <v>0</v>
      </c>
      <c r="I14" s="82"/>
    </row>
    <row r="15" spans="1:18" ht="21" customHeight="1" x14ac:dyDescent="0.25">
      <c r="A15" s="86"/>
      <c r="B15" s="82"/>
      <c r="C15" s="91"/>
      <c r="D15" s="94"/>
      <c r="E15" s="82"/>
      <c r="F15" s="79"/>
      <c r="G15" s="28" t="str">
        <f>+'MPP AP calculator'!A9</f>
        <v/>
      </c>
      <c r="H15" s="26">
        <f>+'MPP AP calculator'!G9</f>
        <v>0</v>
      </c>
      <c r="I15" s="82"/>
    </row>
    <row r="16" spans="1:18" ht="21.75" customHeight="1" thickBot="1" x14ac:dyDescent="0.3">
      <c r="A16" s="86"/>
      <c r="B16" s="83"/>
      <c r="C16" s="92"/>
      <c r="D16" s="95"/>
      <c r="E16" s="83"/>
      <c r="F16" s="80"/>
      <c r="G16" s="29" t="str">
        <f>+'MPP AP calculator'!A10</f>
        <v>MS2</v>
      </c>
      <c r="H16" s="27">
        <f>+'MPP AP calculator'!G10</f>
        <v>350000</v>
      </c>
      <c r="I16" s="83"/>
    </row>
    <row r="17" spans="1:9" x14ac:dyDescent="0.25">
      <c r="A17" s="18"/>
      <c r="B17" s="63" t="s">
        <v>44</v>
      </c>
      <c r="C17" s="63"/>
      <c r="D17" s="63"/>
      <c r="E17" s="63"/>
      <c r="F17" s="63"/>
      <c r="G17" s="63"/>
      <c r="H17" s="63"/>
      <c r="I17" s="63"/>
    </row>
    <row r="24" spans="1:9" x14ac:dyDescent="0.25">
      <c r="D24" s="49"/>
    </row>
  </sheetData>
  <mergeCells count="12">
    <mergeCell ref="F12:F16"/>
    <mergeCell ref="I12:I16"/>
    <mergeCell ref="K11:R11"/>
    <mergeCell ref="B1:E1"/>
    <mergeCell ref="A1:A8"/>
    <mergeCell ref="E3:E7"/>
    <mergeCell ref="G5:J5"/>
    <mergeCell ref="A11:A16"/>
    <mergeCell ref="B12:B16"/>
    <mergeCell ref="C12:C16"/>
    <mergeCell ref="D12:D16"/>
    <mergeCell ref="E12:E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H6" sqref="H6"/>
    </sheetView>
  </sheetViews>
  <sheetFormatPr defaultColWidth="8.85546875" defaultRowHeight="15" x14ac:dyDescent="0.25"/>
  <cols>
    <col min="2" max="3" width="13.42578125" customWidth="1"/>
    <col min="4" max="4" width="12.42578125" customWidth="1"/>
    <col min="5" max="17" width="14.5703125" customWidth="1"/>
    <col min="18" max="20" width="20.7109375" customWidth="1"/>
  </cols>
  <sheetData>
    <row r="1" spans="1:20" x14ac:dyDescent="0.25">
      <c r="A1" t="s">
        <v>46</v>
      </c>
    </row>
    <row r="2" spans="1:20" x14ac:dyDescent="0.25">
      <c r="B2" s="66">
        <v>2</v>
      </c>
      <c r="C2" s="70" t="s">
        <v>66</v>
      </c>
      <c r="D2" s="54" t="s">
        <v>54</v>
      </c>
      <c r="E2" s="54" t="s">
        <v>55</v>
      </c>
      <c r="F2" s="67">
        <v>3</v>
      </c>
      <c r="G2" s="70" t="s">
        <v>67</v>
      </c>
      <c r="H2" s="54" t="s">
        <v>56</v>
      </c>
      <c r="I2" s="54" t="s">
        <v>57</v>
      </c>
      <c r="J2" s="68">
        <v>4</v>
      </c>
      <c r="K2" s="70" t="s">
        <v>68</v>
      </c>
      <c r="L2" s="54" t="s">
        <v>58</v>
      </c>
      <c r="M2" s="54" t="s">
        <v>59</v>
      </c>
      <c r="N2" s="69">
        <v>5</v>
      </c>
      <c r="O2" s="70" t="s">
        <v>69</v>
      </c>
      <c r="P2" s="54" t="s">
        <v>60</v>
      </c>
      <c r="Q2" s="54" t="s">
        <v>61</v>
      </c>
    </row>
    <row r="3" spans="1:20" ht="30.75" customHeight="1" x14ac:dyDescent="0.25">
      <c r="B3" s="36" t="s">
        <v>48</v>
      </c>
      <c r="C3" s="36" t="s">
        <v>64</v>
      </c>
      <c r="D3" s="36" t="s">
        <v>47</v>
      </c>
      <c r="E3" s="36" t="s">
        <v>62</v>
      </c>
      <c r="F3" s="36" t="s">
        <v>48</v>
      </c>
      <c r="G3" s="36" t="s">
        <v>64</v>
      </c>
      <c r="H3" s="36" t="s">
        <v>47</v>
      </c>
      <c r="I3" s="36" t="s">
        <v>62</v>
      </c>
      <c r="J3" s="36" t="s">
        <v>48</v>
      </c>
      <c r="K3" s="36" t="s">
        <v>64</v>
      </c>
      <c r="L3" s="36" t="s">
        <v>47</v>
      </c>
      <c r="M3" s="36" t="s">
        <v>62</v>
      </c>
      <c r="N3" s="36" t="s">
        <v>48</v>
      </c>
      <c r="O3" s="36" t="s">
        <v>64</v>
      </c>
      <c r="P3" s="36" t="s">
        <v>47</v>
      </c>
      <c r="Q3" s="36" t="s">
        <v>62</v>
      </c>
      <c r="R3" s="35"/>
    </row>
    <row r="4" spans="1:20" x14ac:dyDescent="0.25">
      <c r="A4" s="3" t="s">
        <v>36</v>
      </c>
      <c r="B4" s="37">
        <v>0.5</v>
      </c>
      <c r="C4" s="37" t="s">
        <v>18</v>
      </c>
      <c r="D4" s="37"/>
      <c r="E4" s="37">
        <v>0.2</v>
      </c>
      <c r="F4" s="37">
        <v>0.35</v>
      </c>
      <c r="G4" s="37" t="s">
        <v>16</v>
      </c>
      <c r="H4" s="37"/>
      <c r="I4" s="37">
        <v>0.2</v>
      </c>
      <c r="J4" s="37">
        <v>0.3</v>
      </c>
      <c r="K4" s="37" t="s">
        <v>16</v>
      </c>
      <c r="L4" s="37"/>
      <c r="M4" s="37">
        <v>0.2</v>
      </c>
      <c r="N4" s="37">
        <v>0.2</v>
      </c>
      <c r="O4" s="37" t="s">
        <v>16</v>
      </c>
      <c r="P4" s="37"/>
      <c r="Q4" s="37">
        <v>0.2</v>
      </c>
      <c r="R4" s="1"/>
      <c r="S4" s="1"/>
      <c r="T4" s="1"/>
    </row>
    <row r="5" spans="1:20" x14ac:dyDescent="0.25">
      <c r="A5" s="3" t="s">
        <v>37</v>
      </c>
      <c r="B5" s="37"/>
      <c r="C5" s="37" t="s">
        <v>70</v>
      </c>
      <c r="D5" s="37"/>
      <c r="E5" s="37"/>
      <c r="F5" s="37">
        <v>0.3</v>
      </c>
      <c r="G5" s="37" t="s">
        <v>18</v>
      </c>
      <c r="H5" s="37">
        <v>0.15</v>
      </c>
      <c r="I5" s="37"/>
      <c r="J5" s="37">
        <v>0.2</v>
      </c>
      <c r="K5" s="37" t="s">
        <v>17</v>
      </c>
      <c r="L5" s="37">
        <v>0.1</v>
      </c>
      <c r="M5" s="37"/>
      <c r="N5" s="37">
        <v>0.2</v>
      </c>
      <c r="O5" s="37" t="s">
        <v>17</v>
      </c>
      <c r="P5" s="37">
        <v>0.1</v>
      </c>
      <c r="Q5" s="37"/>
      <c r="R5" s="1"/>
      <c r="S5" s="1"/>
      <c r="T5" s="1"/>
    </row>
    <row r="6" spans="1:20" x14ac:dyDescent="0.25">
      <c r="A6" s="3" t="s">
        <v>38</v>
      </c>
      <c r="B6" s="37"/>
      <c r="C6" s="37" t="s">
        <v>70</v>
      </c>
      <c r="D6" s="37"/>
      <c r="E6" s="37"/>
      <c r="F6" s="37"/>
      <c r="G6" s="37" t="s">
        <v>70</v>
      </c>
      <c r="H6" s="37"/>
      <c r="I6" s="37"/>
      <c r="J6" s="37">
        <v>0.25</v>
      </c>
      <c r="K6" s="37" t="s">
        <v>19</v>
      </c>
      <c r="L6" s="37">
        <v>0.15</v>
      </c>
      <c r="M6" s="37"/>
      <c r="N6" s="37">
        <v>0.25</v>
      </c>
      <c r="O6" s="37" t="s">
        <v>18</v>
      </c>
      <c r="P6" s="37">
        <v>0.15</v>
      </c>
      <c r="Q6" s="37"/>
      <c r="R6" s="1"/>
      <c r="S6" s="1"/>
      <c r="T6" s="1"/>
    </row>
    <row r="7" spans="1:20" x14ac:dyDescent="0.25">
      <c r="A7" s="3" t="s">
        <v>39</v>
      </c>
      <c r="B7" s="37"/>
      <c r="C7" s="37" t="s">
        <v>70</v>
      </c>
      <c r="D7" s="37"/>
      <c r="E7" s="37"/>
      <c r="F7" s="37"/>
      <c r="G7" s="37" t="s">
        <v>70</v>
      </c>
      <c r="H7" s="37"/>
      <c r="I7" s="37"/>
      <c r="J7" s="37"/>
      <c r="K7" s="37" t="s">
        <v>70</v>
      </c>
      <c r="L7" s="37"/>
      <c r="M7" s="37"/>
      <c r="N7" s="37">
        <v>0.15</v>
      </c>
      <c r="O7" s="37" t="s">
        <v>19</v>
      </c>
      <c r="P7" s="37">
        <v>0.05</v>
      </c>
      <c r="Q7" s="37"/>
      <c r="R7" s="1"/>
      <c r="S7" s="1"/>
      <c r="T7" s="1"/>
    </row>
    <row r="8" spans="1:20" x14ac:dyDescent="0.25">
      <c r="A8" s="3" t="s">
        <v>0</v>
      </c>
      <c r="B8" s="37">
        <v>0.5</v>
      </c>
      <c r="C8" s="37" t="s">
        <v>65</v>
      </c>
      <c r="D8" s="37">
        <v>0.35</v>
      </c>
      <c r="E8" s="37"/>
      <c r="F8" s="37">
        <v>0.35</v>
      </c>
      <c r="G8" s="37" t="s">
        <v>65</v>
      </c>
      <c r="H8" s="37">
        <v>0.2</v>
      </c>
      <c r="I8" s="37"/>
      <c r="J8" s="37">
        <v>0.25</v>
      </c>
      <c r="K8" s="37" t="s">
        <v>65</v>
      </c>
      <c r="L8" s="37">
        <v>0.1</v>
      </c>
      <c r="M8" s="37"/>
      <c r="N8" s="37">
        <v>0.2</v>
      </c>
      <c r="O8" s="37" t="s">
        <v>65</v>
      </c>
      <c r="P8" s="37">
        <v>0.05</v>
      </c>
      <c r="Q8" s="37"/>
      <c r="R8" s="1"/>
      <c r="S8" s="1"/>
      <c r="T8" s="1"/>
    </row>
    <row r="9" spans="1:20" s="4" customFormat="1" x14ac:dyDescent="0.25">
      <c r="A9" s="6" t="s">
        <v>3</v>
      </c>
      <c r="B9" s="38">
        <f>SUM(B4:B8)</f>
        <v>1</v>
      </c>
      <c r="C9" s="38"/>
      <c r="D9" s="38"/>
      <c r="E9" s="38"/>
      <c r="F9" s="38">
        <f>SUM(F4:F8)</f>
        <v>0.99999999999999989</v>
      </c>
      <c r="G9" s="38"/>
      <c r="H9" s="38"/>
      <c r="I9" s="38"/>
      <c r="J9" s="38">
        <f>SUM(J4:J8)</f>
        <v>1</v>
      </c>
      <c r="K9" s="38"/>
      <c r="L9" s="38"/>
      <c r="M9" s="38"/>
      <c r="N9" s="38">
        <f>SUM(N4:N8)</f>
        <v>1</v>
      </c>
      <c r="O9" s="38"/>
      <c r="P9" s="38"/>
      <c r="Q9" s="38"/>
      <c r="R9" s="5"/>
      <c r="S9" s="5"/>
      <c r="T9" s="5"/>
    </row>
    <row r="13" spans="1:20" x14ac:dyDescent="0.25">
      <c r="B13" s="51" t="s">
        <v>49</v>
      </c>
      <c r="C13" s="51"/>
    </row>
    <row r="14" spans="1:20" x14ac:dyDescent="0.25">
      <c r="B14" s="51">
        <v>2</v>
      </c>
      <c r="C14" s="51"/>
    </row>
    <row r="15" spans="1:20" x14ac:dyDescent="0.25">
      <c r="B15" s="51">
        <v>3</v>
      </c>
      <c r="C15" s="51"/>
    </row>
    <row r="16" spans="1:20" x14ac:dyDescent="0.25">
      <c r="B16" s="51">
        <v>4</v>
      </c>
      <c r="C16" s="51"/>
    </row>
    <row r="17" spans="2:3" x14ac:dyDescent="0.25">
      <c r="B17" s="51">
        <v>5</v>
      </c>
      <c r="C17" s="51"/>
    </row>
    <row r="18" spans="2:3" x14ac:dyDescent="0.25">
      <c r="B18" s="51"/>
      <c r="C18" s="51"/>
    </row>
    <row r="19" spans="2:3" x14ac:dyDescent="0.25">
      <c r="B19" s="51" t="s">
        <v>50</v>
      </c>
      <c r="C19" s="51"/>
    </row>
    <row r="20" spans="2:3" x14ac:dyDescent="0.25">
      <c r="B20" s="51" t="s">
        <v>51</v>
      </c>
      <c r="C20" s="51"/>
    </row>
    <row r="21" spans="2:3" x14ac:dyDescent="0.25">
      <c r="B21" s="51" t="s">
        <v>53</v>
      </c>
      <c r="C21" s="51"/>
    </row>
    <row r="22" spans="2:3" x14ac:dyDescent="0.25">
      <c r="B22" s="51"/>
      <c r="C22" s="5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MPP AP calculator</vt:lpstr>
      <vt:lpstr>Final table</vt:lpstr>
      <vt:lpstr>% payment plans</vt:lpstr>
    </vt:vector>
  </TitlesOfParts>
  <Company>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Page</dc:creator>
  <cp:lastModifiedBy>Francesco Feliciani</cp:lastModifiedBy>
  <dcterms:created xsi:type="dcterms:W3CDTF">2019-01-20T20:32:35Z</dcterms:created>
  <dcterms:modified xsi:type="dcterms:W3CDTF">2019-08-15T14:06:48Z</dcterms:modified>
</cp:coreProperties>
</file>